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Problem #1" sheetId="1" r:id="rId1"/>
    <sheet name="Problem #2" sheetId="2" r:id="rId2"/>
    <sheet name="Problem #3" sheetId="3" r:id="rId3"/>
    <sheet name="Problem #4" sheetId="4" r:id="rId4"/>
  </sheets>
  <definedNames>
    <definedName name="_xlnm.Print_Area" localSheetId="0">'Problem #1'!$A$1:$I$39</definedName>
    <definedName name="_xlnm.Print_Area" localSheetId="1">'Problem #2'!$A$1:$O$39</definedName>
    <definedName name="_xlnm.Print_Area" localSheetId="2">'Problem #3'!$A$1:$G$24</definedName>
    <definedName name="_xlnm.Print_Area" localSheetId="3">'Problem #4'!$A$1:$J$34</definedName>
  </definedNames>
  <calcPr fullCalcOnLoad="1"/>
</workbook>
</file>

<file path=xl/sharedStrings.xml><?xml version="1.0" encoding="utf-8"?>
<sst xmlns="http://schemas.openxmlformats.org/spreadsheetml/2006/main" count="244" uniqueCount="175">
  <si>
    <t>n</t>
  </si>
  <si>
    <t>K</t>
  </si>
  <si>
    <t>I</t>
  </si>
  <si>
    <t>Vgw</t>
  </si>
  <si>
    <t>cm/sec</t>
  </si>
  <si>
    <t>ft/ft</t>
  </si>
  <si>
    <t>ft/yr</t>
  </si>
  <si>
    <t>Part a</t>
  </si>
  <si>
    <t>Part b</t>
  </si>
  <si>
    <t>COC</t>
  </si>
  <si>
    <t>benzene</t>
  </si>
  <si>
    <t>chlorobenzene</t>
  </si>
  <si>
    <t>naphthalene</t>
  </si>
  <si>
    <t>trichloroethylene</t>
  </si>
  <si>
    <r>
      <t>r</t>
    </r>
    <r>
      <rPr>
        <vertAlign val="subscript"/>
        <sz val="10"/>
        <rFont val="Arial"/>
        <family val="2"/>
      </rPr>
      <t>b</t>
    </r>
  </si>
  <si>
    <t>foc</t>
  </si>
  <si>
    <t>fastest</t>
  </si>
  <si>
    <t>slowest</t>
  </si>
  <si>
    <t>Part c</t>
  </si>
  <si>
    <t>Distance to POE</t>
  </si>
  <si>
    <t>ft</t>
  </si>
  <si>
    <t>Part d</t>
  </si>
  <si>
    <t>l</t>
  </si>
  <si>
    <t>Sw</t>
  </si>
  <si>
    <t>Sd</t>
  </si>
  <si>
    <t>RBEL (ug/l)</t>
  </si>
  <si>
    <t>DAF</t>
  </si>
  <si>
    <t>Conc at MW39 (ug/l)</t>
  </si>
  <si>
    <t>Above PCL?</t>
  </si>
  <si>
    <t>yes</t>
  </si>
  <si>
    <t>Conc at MW5</t>
  </si>
  <si>
    <t>(ug/l)</t>
  </si>
  <si>
    <t xml:space="preserve">H </t>
  </si>
  <si>
    <t>(atm-m3/mol)</t>
  </si>
  <si>
    <t>Hc</t>
  </si>
  <si>
    <t>dimensionless</t>
  </si>
  <si>
    <t>(ug/m3)</t>
  </si>
  <si>
    <t xml:space="preserve">Indoor Air </t>
  </si>
  <si>
    <t>RBEL</t>
  </si>
  <si>
    <t>Lgw</t>
  </si>
  <si>
    <t>ER</t>
  </si>
  <si>
    <t>Lb</t>
  </si>
  <si>
    <t>Lcrack</t>
  </si>
  <si>
    <t>h</t>
  </si>
  <si>
    <t>cm</t>
  </si>
  <si>
    <t>hcap</t>
  </si>
  <si>
    <t>hv</t>
  </si>
  <si>
    <r>
      <t>q</t>
    </r>
    <r>
      <rPr>
        <vertAlign val="subscript"/>
        <sz val="10"/>
        <rFont val="Arial"/>
        <family val="2"/>
      </rPr>
      <t>T</t>
    </r>
  </si>
  <si>
    <r>
      <t>q</t>
    </r>
    <r>
      <rPr>
        <vertAlign val="subscript"/>
        <sz val="10"/>
        <rFont val="Arial"/>
        <family val="2"/>
      </rPr>
      <t>acrack</t>
    </r>
  </si>
  <si>
    <r>
      <t>q</t>
    </r>
    <r>
      <rPr>
        <vertAlign val="subscript"/>
        <sz val="10"/>
        <rFont val="Arial"/>
        <family val="2"/>
      </rPr>
      <t>wcrack</t>
    </r>
  </si>
  <si>
    <r>
      <t>q</t>
    </r>
    <r>
      <rPr>
        <vertAlign val="subscript"/>
        <sz val="10"/>
        <rFont val="Arial"/>
        <family val="2"/>
      </rPr>
      <t>acap</t>
    </r>
  </si>
  <si>
    <r>
      <t>q</t>
    </r>
    <r>
      <rPr>
        <vertAlign val="subscript"/>
        <sz val="10"/>
        <rFont val="Arial"/>
        <family val="2"/>
      </rPr>
      <t>wcap</t>
    </r>
  </si>
  <si>
    <r>
      <t>q</t>
    </r>
    <r>
      <rPr>
        <vertAlign val="subscript"/>
        <sz val="10"/>
        <rFont val="Arial"/>
        <family val="2"/>
      </rPr>
      <t>as</t>
    </r>
  </si>
  <si>
    <r>
      <t>q</t>
    </r>
    <r>
      <rPr>
        <vertAlign val="subscript"/>
        <sz val="10"/>
        <rFont val="Arial"/>
        <family val="2"/>
      </rPr>
      <t>ws</t>
    </r>
  </si>
  <si>
    <t>Dair</t>
  </si>
  <si>
    <t>Dwater</t>
  </si>
  <si>
    <t>NAF</t>
  </si>
  <si>
    <t>GW conc above PCL?</t>
  </si>
  <si>
    <t>cm2/s</t>
  </si>
  <si>
    <t>ug/l</t>
  </si>
  <si>
    <t>no</t>
  </si>
  <si>
    <t>Problem #3 - Soil Ingestion RBEL</t>
  </si>
  <si>
    <t>Child</t>
  </si>
  <si>
    <t>RfD</t>
  </si>
  <si>
    <t>na</t>
  </si>
  <si>
    <t>Risk Level</t>
  </si>
  <si>
    <t>Exposure Frequency</t>
  </si>
  <si>
    <t>Target Hazard Quotient</t>
  </si>
  <si>
    <r>
      <t>Averaging time</t>
    </r>
    <r>
      <rPr>
        <vertAlign val="subscript"/>
        <sz val="10"/>
        <rFont val="Arial"/>
        <family val="2"/>
      </rPr>
      <t xml:space="preserve"> carcinogens</t>
    </r>
  </si>
  <si>
    <r>
      <t>Averaging time</t>
    </r>
    <r>
      <rPr>
        <vertAlign val="subscript"/>
        <sz val="10"/>
        <rFont val="Arial"/>
        <family val="2"/>
      </rPr>
      <t xml:space="preserve"> non-carc</t>
    </r>
  </si>
  <si>
    <t>Exposure Duration</t>
  </si>
  <si>
    <t>mg/day</t>
  </si>
  <si>
    <t>yr</t>
  </si>
  <si>
    <t>(mg/kg-day)-1</t>
  </si>
  <si>
    <t>(mg/kg-day)</t>
  </si>
  <si>
    <t>d/yr</t>
  </si>
  <si>
    <t>Construction Worker</t>
  </si>
  <si>
    <t>RBELnon-c</t>
  </si>
  <si>
    <t>(mg/kg)</t>
  </si>
  <si>
    <t>Body Weight</t>
  </si>
  <si>
    <t>kg</t>
  </si>
  <si>
    <t>Problem #4 Cumulative Risk Issues - Non Carcinogenic Effects</t>
  </si>
  <si>
    <t>Toluene</t>
  </si>
  <si>
    <t>Ethylbenzene</t>
  </si>
  <si>
    <t>Xylenes</t>
  </si>
  <si>
    <t>Acetone</t>
  </si>
  <si>
    <t>Chlorobenzene</t>
  </si>
  <si>
    <t>MTBE</t>
  </si>
  <si>
    <t>Naphthalene</t>
  </si>
  <si>
    <t>Tetrachloroethylene</t>
  </si>
  <si>
    <t>Trichloroethylene</t>
  </si>
  <si>
    <t>Ingestion Rate child</t>
  </si>
  <si>
    <t>l/day</t>
  </si>
  <si>
    <t>PCL (mg/l)</t>
  </si>
  <si>
    <t>PCL-a/PCL</t>
  </si>
  <si>
    <t>Total =</t>
  </si>
  <si>
    <t>Factor</t>
  </si>
  <si>
    <t>Distance from MW 39 to MW 3:</t>
  </si>
  <si>
    <t>Elevation Difference MW39-MW3</t>
  </si>
  <si>
    <t>Notes:</t>
  </si>
  <si>
    <t>2. Equation LT-1a from TNRCC: lateral solute transport in groundwater</t>
  </si>
  <si>
    <t>assume no decay</t>
  </si>
  <si>
    <t>1/yr</t>
  </si>
  <si>
    <r>
      <t>C(x)/Cs</t>
    </r>
    <r>
      <rPr>
        <b/>
        <vertAlign val="superscript"/>
        <sz val="10"/>
        <rFont val="Arial"/>
        <family val="2"/>
      </rPr>
      <t>2</t>
    </r>
  </si>
  <si>
    <r>
      <t>PCL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(ug/l)</t>
    </r>
  </si>
  <si>
    <t>3. PCL = RBEL*DAF</t>
  </si>
  <si>
    <t>Gradient Calculation:</t>
  </si>
  <si>
    <r>
      <t>a</t>
    </r>
    <r>
      <rPr>
        <vertAlign val="subscript"/>
        <sz val="10"/>
        <rFont val="Arial"/>
        <family val="2"/>
      </rPr>
      <t>x</t>
    </r>
  </si>
  <si>
    <r>
      <t>a</t>
    </r>
    <r>
      <rPr>
        <vertAlign val="subscript"/>
        <sz val="10"/>
        <rFont val="Arial"/>
        <family val="2"/>
      </rPr>
      <t>y</t>
    </r>
  </si>
  <si>
    <r>
      <t>a</t>
    </r>
    <r>
      <rPr>
        <vertAlign val="subscript"/>
        <sz val="10"/>
        <rFont val="Arial"/>
        <family val="2"/>
      </rPr>
      <t>z</t>
    </r>
  </si>
  <si>
    <t>4. All formulae given in the problem statement were used in the calculations</t>
  </si>
  <si>
    <r>
      <t>Problem #1 - Groundwater Transport</t>
    </r>
    <r>
      <rPr>
        <b/>
        <vertAlign val="superscript"/>
        <sz val="10"/>
        <rFont val="Arial"/>
        <family val="2"/>
      </rPr>
      <t>4</t>
    </r>
  </si>
  <si>
    <r>
      <t>Cair</t>
    </r>
    <r>
      <rPr>
        <b/>
        <vertAlign val="superscript"/>
        <sz val="10"/>
        <rFont val="Arial"/>
        <family val="2"/>
      </rPr>
      <t xml:space="preserve">1 </t>
    </r>
  </si>
  <si>
    <t>1. Cair is the concentration in the vadose zone vapor phase immediately above the water table.</t>
  </si>
  <si>
    <t>(mg/m3-air/mg/l-water)</t>
  </si>
  <si>
    <t>2. Equation CM-6 from TNRCC: groundwater to enclosed space volatilization factor</t>
  </si>
  <si>
    <t>3. Effective Diffusion coefficients from TNRCC Manual</t>
  </si>
  <si>
    <t>Cair above RBEL?</t>
  </si>
  <si>
    <t>5. PCL = RBEL*NAF</t>
  </si>
  <si>
    <t>(ug/m3-air/ug/l-water)</t>
  </si>
  <si>
    <r>
      <t>D</t>
    </r>
    <r>
      <rPr>
        <b/>
        <vertAlign val="subscript"/>
        <sz val="10"/>
        <rFont val="Arial"/>
        <family val="2"/>
      </rPr>
      <t>eff-crack</t>
    </r>
    <r>
      <rPr>
        <b/>
        <vertAlign val="superscript"/>
        <sz val="10"/>
        <rFont val="Arial"/>
        <family val="2"/>
      </rPr>
      <t>3</t>
    </r>
  </si>
  <si>
    <r>
      <t>D</t>
    </r>
    <r>
      <rPr>
        <b/>
        <vertAlign val="subscript"/>
        <sz val="10"/>
        <rFont val="Arial"/>
        <family val="2"/>
      </rPr>
      <t>eff-cap</t>
    </r>
    <r>
      <rPr>
        <b/>
        <vertAlign val="superscript"/>
        <sz val="10"/>
        <rFont val="Arial"/>
        <family val="2"/>
      </rPr>
      <t>3</t>
    </r>
  </si>
  <si>
    <r>
      <t>D</t>
    </r>
    <r>
      <rPr>
        <b/>
        <vertAlign val="subscript"/>
        <sz val="10"/>
        <rFont val="Arial"/>
        <family val="2"/>
      </rPr>
      <t>eff-s</t>
    </r>
    <r>
      <rPr>
        <b/>
        <vertAlign val="superscript"/>
        <sz val="10"/>
        <rFont val="Arial"/>
        <family val="2"/>
      </rPr>
      <t>3</t>
    </r>
  </si>
  <si>
    <r>
      <t>D</t>
    </r>
    <r>
      <rPr>
        <b/>
        <vertAlign val="subscript"/>
        <sz val="10"/>
        <rFont val="Arial"/>
        <family val="2"/>
      </rPr>
      <t>eff-ws</t>
    </r>
    <r>
      <rPr>
        <b/>
        <vertAlign val="superscript"/>
        <sz val="10"/>
        <rFont val="Arial"/>
        <family val="2"/>
      </rPr>
      <t>3</t>
    </r>
  </si>
  <si>
    <r>
      <t>D</t>
    </r>
    <r>
      <rPr>
        <b/>
        <vertAlign val="subscript"/>
        <sz val="10"/>
        <rFont val="Arial"/>
        <family val="2"/>
      </rPr>
      <t>eff-ws</t>
    </r>
    <r>
      <rPr>
        <b/>
        <sz val="10"/>
        <rFont val="Arial"/>
        <family val="2"/>
      </rPr>
      <t>/Lgw</t>
    </r>
  </si>
  <si>
    <r>
      <t>D</t>
    </r>
    <r>
      <rPr>
        <b/>
        <vertAlign val="subscript"/>
        <sz val="10"/>
        <rFont val="Arial"/>
        <family val="2"/>
      </rPr>
      <t>eff-crack</t>
    </r>
    <r>
      <rPr>
        <b/>
        <sz val="10"/>
        <rFont val="Arial"/>
        <family val="2"/>
      </rPr>
      <t>/Lcrack</t>
    </r>
  </si>
  <si>
    <r>
      <t>Vf</t>
    </r>
    <r>
      <rPr>
        <b/>
        <vertAlign val="subscript"/>
        <sz val="10"/>
        <rFont val="Arial"/>
        <family val="2"/>
      </rPr>
      <t>wesp</t>
    </r>
  </si>
  <si>
    <r>
      <t>PCL</t>
    </r>
    <r>
      <rPr>
        <b/>
        <vertAlign val="superscript"/>
        <sz val="10"/>
        <rFont val="Arial"/>
        <family val="2"/>
      </rPr>
      <t>5</t>
    </r>
  </si>
  <si>
    <r>
      <t>Problem #2 - Indoor Air Inhalation from GW source</t>
    </r>
    <r>
      <rPr>
        <b/>
        <vertAlign val="superscript"/>
        <sz val="10"/>
        <rFont val="Arial"/>
        <family val="2"/>
      </rPr>
      <t>4</t>
    </r>
  </si>
  <si>
    <t>1/sec</t>
  </si>
  <si>
    <t>RBELcarcinogen</t>
  </si>
  <si>
    <r>
      <t>Child</t>
    </r>
    <r>
      <rPr>
        <b/>
        <vertAlign val="superscript"/>
        <sz val="10"/>
        <rFont val="Arial"/>
        <family val="2"/>
      </rPr>
      <t>1</t>
    </r>
  </si>
  <si>
    <r>
      <t>Construction Worker</t>
    </r>
    <r>
      <rPr>
        <b/>
        <vertAlign val="superscript"/>
        <sz val="10"/>
        <rFont val="Arial"/>
        <family val="2"/>
      </rPr>
      <t>2</t>
    </r>
  </si>
  <si>
    <t>1. Exposure Factors used from TNRCC Manual for resident child (could use adult)</t>
  </si>
  <si>
    <t>2. PCL adjustment based on making the sum of the PCL-a/PCL values equal to or less than 1</t>
  </si>
  <si>
    <t xml:space="preserve">3. PCL adjustments first to highest PCL COC, assuming that if remediation is required to meet the PCL then </t>
  </si>
  <si>
    <t>the concentrations of the higher PCL COC would be reduced in the efforts top meet the more restrictive PCL</t>
  </si>
  <si>
    <t>4. The PCLs for the chlorinated COC and MTBE were not reduced as much as the other COC since the chlorinated</t>
  </si>
  <si>
    <t>TNRCC recommends using child exposure factors for water ingestion because lower PCL values will result</t>
  </si>
  <si>
    <t>Conc</t>
  </si>
  <si>
    <t>MW39</t>
  </si>
  <si>
    <t>Conc-based</t>
  </si>
  <si>
    <t>fraction</t>
  </si>
  <si>
    <t>Total=</t>
  </si>
  <si>
    <t>5. The PCLs could also be adjusted based o nthe original relative proportions of the COC.  Using the source area #2</t>
  </si>
  <si>
    <t>MW39 concentrations, relative fractions are calculated and then the PCLs adjusted.</t>
  </si>
  <si>
    <t>COC and MTBE are more difficult (and costly) to remediate.</t>
  </si>
  <si>
    <r>
      <t>Method #1</t>
    </r>
    <r>
      <rPr>
        <vertAlign val="superscript"/>
        <sz val="10"/>
        <rFont val="Arial"/>
        <family val="2"/>
      </rPr>
      <t>3,4</t>
    </r>
  </si>
  <si>
    <r>
      <t>Method #2</t>
    </r>
    <r>
      <rPr>
        <vertAlign val="superscript"/>
        <sz val="10"/>
        <rFont val="Arial"/>
        <family val="2"/>
      </rPr>
      <t>5</t>
    </r>
  </si>
  <si>
    <r>
      <t>PCL-adj</t>
    </r>
    <r>
      <rPr>
        <b/>
        <vertAlign val="superscript"/>
        <sz val="10"/>
        <rFont val="Arial"/>
        <family val="2"/>
      </rPr>
      <t>2</t>
    </r>
  </si>
  <si>
    <t>GW conc MW 5</t>
  </si>
  <si>
    <t>1. Log Koc values in L/kg from TNRCC Appendix VII</t>
  </si>
  <si>
    <r>
      <t>Log Koc</t>
    </r>
    <r>
      <rPr>
        <b/>
        <vertAlign val="superscript"/>
        <sz val="10"/>
        <rFont val="Arial"/>
        <family val="2"/>
      </rPr>
      <t>1</t>
    </r>
  </si>
  <si>
    <t>Kd = Koc*foc</t>
  </si>
  <si>
    <r>
      <t>R=(1+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/n)</t>
    </r>
  </si>
  <si>
    <t>kg/L</t>
  </si>
  <si>
    <r>
      <t>Koc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(L/kg)</t>
    </r>
  </si>
  <si>
    <t>Vcoc (ft/yr)=Vgw/R</t>
  </si>
  <si>
    <t>COC Travel Time (yr) = L/Vcoc</t>
  </si>
  <si>
    <t>Vgw=KI/n</t>
  </si>
  <si>
    <t>Risk Level, RL</t>
  </si>
  <si>
    <t>Exposure Frequency, EF</t>
  </si>
  <si>
    <t>Exposure Duration, ED</t>
  </si>
  <si>
    <t>Ingestion Rate, IR</t>
  </si>
  <si>
    <t>Target Hazard Quotient, HQ</t>
  </si>
  <si>
    <t>Body Weight, BW</t>
  </si>
  <si>
    <r>
      <t>Averaging time</t>
    </r>
    <r>
      <rPr>
        <vertAlign val="subscript"/>
        <sz val="10"/>
        <rFont val="Arial"/>
        <family val="2"/>
      </rPr>
      <t xml:space="preserve"> carcinogens, </t>
    </r>
    <r>
      <rPr>
        <sz val="10"/>
        <rFont val="Arial"/>
        <family val="2"/>
      </rPr>
      <t>AT</t>
    </r>
  </si>
  <si>
    <r>
      <t>Averaging time</t>
    </r>
    <r>
      <rPr>
        <vertAlign val="subscript"/>
        <sz val="10"/>
        <rFont val="Arial"/>
        <family val="2"/>
      </rPr>
      <t xml:space="preserve"> non-carcinogen, </t>
    </r>
    <r>
      <rPr>
        <sz val="10"/>
        <rFont val="Arial"/>
        <family val="2"/>
      </rPr>
      <t>AT</t>
    </r>
  </si>
  <si>
    <t>1. Exposure Factors for child from TNRCC Manual, P. 6-46</t>
  </si>
  <si>
    <t>2. Exposure factors for construction worker from BP RBDP Guidance, Table A-3.1</t>
  </si>
  <si>
    <r>
      <t>SF</t>
    </r>
    <r>
      <rPr>
        <b/>
        <vertAlign val="superscript"/>
        <sz val="10"/>
        <rFont val="Arial"/>
        <family val="2"/>
      </rPr>
      <t>3</t>
    </r>
  </si>
  <si>
    <r>
      <t>RfD</t>
    </r>
    <r>
      <rPr>
        <b/>
        <vertAlign val="superscript"/>
        <sz val="10"/>
        <rFont val="Arial"/>
        <family val="2"/>
      </rPr>
      <t>3</t>
    </r>
  </si>
  <si>
    <t>3. SF and RfD from TNRCC Manual, Table VI Toxicity Values</t>
  </si>
  <si>
    <r>
      <t>RBEL</t>
    </r>
    <r>
      <rPr>
        <vertAlign val="subscript"/>
        <sz val="10"/>
        <rFont val="Arial"/>
        <family val="2"/>
      </rPr>
      <t>carc</t>
    </r>
    <r>
      <rPr>
        <sz val="10"/>
        <rFont val="Arial"/>
        <family val="0"/>
      </rPr>
      <t xml:space="preserve"> = (RL/SF)*(BW/IRx10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>)*(AT*365/EF*ED)</t>
    </r>
  </si>
  <si>
    <r>
      <t>RBEL</t>
    </r>
    <r>
      <rPr>
        <vertAlign val="subscript"/>
        <sz val="10"/>
        <rFont val="Arial"/>
        <family val="2"/>
      </rPr>
      <t>noncarc</t>
    </r>
    <r>
      <rPr>
        <sz val="10"/>
        <rFont val="Arial"/>
        <family val="0"/>
      </rPr>
      <t xml:space="preserve"> = (HQ*Rfd)*(BW/IRx10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>)*(AT*365/EF*ED)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</si>
</sst>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  <numFmt numFmtId="166" formatCode="0.0000"/>
    <numFmt numFmtId="167" formatCode="0.0"/>
  </numFmts>
  <fonts count="9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20">
      <selection activeCell="B8" sqref="B8"/>
    </sheetView>
  </sheetViews>
  <sheetFormatPr defaultColWidth="9.140625" defaultRowHeight="12.75"/>
  <cols>
    <col min="1" max="1" width="14.57421875" style="0" bestFit="1" customWidth="1"/>
    <col min="2" max="2" width="10.57421875" style="0" bestFit="1" customWidth="1"/>
    <col min="3" max="4" width="12.7109375" style="0" bestFit="1" customWidth="1"/>
    <col min="5" max="5" width="12.00390625" style="0" bestFit="1" customWidth="1"/>
    <col min="6" max="6" width="19.00390625" style="0" bestFit="1" customWidth="1"/>
    <col min="7" max="7" width="12.140625" style="0" bestFit="1" customWidth="1"/>
    <col min="9" max="9" width="19.8515625" style="0" bestFit="1" customWidth="1"/>
  </cols>
  <sheetData>
    <row r="1" ht="14.25">
      <c r="A1" s="4" t="s">
        <v>111</v>
      </c>
    </row>
    <row r="2" ht="12.75">
      <c r="A2" s="4" t="s">
        <v>7</v>
      </c>
    </row>
    <row r="3" spans="1:4" ht="12.75">
      <c r="A3" t="s">
        <v>0</v>
      </c>
      <c r="B3">
        <v>0.4</v>
      </c>
      <c r="D3" s="4" t="s">
        <v>106</v>
      </c>
    </row>
    <row r="4" spans="1:8" ht="12.75">
      <c r="A4" t="s">
        <v>1</v>
      </c>
      <c r="B4" s="1">
        <v>0.0004</v>
      </c>
      <c r="C4" t="s">
        <v>4</v>
      </c>
      <c r="D4" t="s">
        <v>97</v>
      </c>
      <c r="G4">
        <v>626</v>
      </c>
      <c r="H4" t="s">
        <v>20</v>
      </c>
    </row>
    <row r="5" spans="1:8" ht="12.75">
      <c r="A5" t="s">
        <v>2</v>
      </c>
      <c r="B5">
        <f>G5/G4</f>
        <v>0.005</v>
      </c>
      <c r="C5" t="s">
        <v>5</v>
      </c>
      <c r="D5" t="s">
        <v>98</v>
      </c>
      <c r="G5">
        <v>3.13</v>
      </c>
      <c r="H5" t="s">
        <v>20</v>
      </c>
    </row>
    <row r="7" spans="1:3" ht="12.75">
      <c r="A7" t="s">
        <v>159</v>
      </c>
      <c r="B7" s="1">
        <f>B4*B5/B3</f>
        <v>5E-06</v>
      </c>
      <c r="C7" t="s">
        <v>4</v>
      </c>
    </row>
    <row r="8" spans="1:3" ht="12.75">
      <c r="A8" t="s">
        <v>3</v>
      </c>
      <c r="B8" s="3">
        <f>B7*31500000/30.48</f>
        <v>5.167322834645669</v>
      </c>
      <c r="C8" t="s">
        <v>6</v>
      </c>
    </row>
    <row r="9" spans="1:3" ht="15.75">
      <c r="A9" s="2" t="s">
        <v>14</v>
      </c>
      <c r="B9" s="3">
        <f>2.65*(1-B3)</f>
        <v>1.5899999999999999</v>
      </c>
      <c r="C9" t="s">
        <v>155</v>
      </c>
    </row>
    <row r="10" spans="1:2" ht="12.75">
      <c r="A10" t="s">
        <v>15</v>
      </c>
      <c r="B10">
        <v>0.01</v>
      </c>
    </row>
    <row r="11" spans="1:3" ht="12.75">
      <c r="A11" t="s">
        <v>19</v>
      </c>
      <c r="B11">
        <v>450</v>
      </c>
      <c r="C11" t="s">
        <v>20</v>
      </c>
    </row>
    <row r="13" spans="1:9" ht="12.75">
      <c r="A13" s="4" t="s">
        <v>8</v>
      </c>
      <c r="I13" s="4" t="s">
        <v>18</v>
      </c>
    </row>
    <row r="14" spans="1:8" ht="15">
      <c r="A14" s="7" t="s">
        <v>9</v>
      </c>
      <c r="B14" s="7" t="s">
        <v>152</v>
      </c>
      <c r="C14" s="7" t="s">
        <v>156</v>
      </c>
      <c r="D14" s="7" t="s">
        <v>153</v>
      </c>
      <c r="E14" s="7" t="s">
        <v>154</v>
      </c>
      <c r="F14" s="7" t="s">
        <v>157</v>
      </c>
      <c r="G14" s="6"/>
      <c r="H14" s="7" t="s">
        <v>158</v>
      </c>
    </row>
    <row r="15" spans="1:8" ht="12.75">
      <c r="A15" t="s">
        <v>10</v>
      </c>
      <c r="B15">
        <v>1.82</v>
      </c>
      <c r="C15" s="15">
        <f>POWER(10,B15)</f>
        <v>66.06934480075962</v>
      </c>
      <c r="D15" s="8">
        <f>C15*$B$10</f>
        <v>0.6606934480075962</v>
      </c>
      <c r="E15" s="3">
        <f>1+($B$9*D15)/$B$3</f>
        <v>3.6262564558301946</v>
      </c>
      <c r="F15" s="3">
        <f>$B$8/E15</f>
        <v>1.4249744599110719</v>
      </c>
      <c r="G15" s="4" t="s">
        <v>16</v>
      </c>
      <c r="H15" s="14">
        <f>$B$11/F15</f>
        <v>315.79513363915527</v>
      </c>
    </row>
    <row r="16" spans="1:8" ht="12.75">
      <c r="A16" t="s">
        <v>11</v>
      </c>
      <c r="B16">
        <v>2.33</v>
      </c>
      <c r="C16" s="15">
        <f>POWER(10,B16)</f>
        <v>213.7962089502234</v>
      </c>
      <c r="D16" s="8">
        <f>C16*$B$10</f>
        <v>2.137962089502234</v>
      </c>
      <c r="E16" s="3">
        <f>1+($B$9*D16)/$B$3</f>
        <v>9.498399305771379</v>
      </c>
      <c r="F16" s="3">
        <f>$B$8/E16</f>
        <v>0.5440203836772709</v>
      </c>
      <c r="H16" s="14">
        <f>$B$11/F16</f>
        <v>827.1748881140333</v>
      </c>
    </row>
    <row r="17" spans="1:8" ht="12.75">
      <c r="A17" t="s">
        <v>12</v>
      </c>
      <c r="B17">
        <v>3.19</v>
      </c>
      <c r="C17" s="15">
        <f>POWER(10,B17)</f>
        <v>1548.8166189124822</v>
      </c>
      <c r="D17" s="8">
        <f>C17*$B$10</f>
        <v>15.488166189124822</v>
      </c>
      <c r="E17" s="3">
        <f>1+($B$9*D17)/$B$3</f>
        <v>62.56546060177116</v>
      </c>
      <c r="F17" s="3">
        <f>$B$8/E17</f>
        <v>0.0825906624029455</v>
      </c>
      <c r="G17" s="4" t="s">
        <v>17</v>
      </c>
      <c r="H17" s="14">
        <f>$B$11/F17</f>
        <v>5448.557826119957</v>
      </c>
    </row>
    <row r="18" spans="1:8" ht="12.75">
      <c r="A18" t="s">
        <v>13</v>
      </c>
      <c r="B18">
        <v>2.05</v>
      </c>
      <c r="C18" s="15">
        <f>POWER(10,B18)</f>
        <v>112.20184543019634</v>
      </c>
      <c r="D18" s="8">
        <f>C18*$B$10</f>
        <v>1.1220184543019636</v>
      </c>
      <c r="E18" s="3">
        <f>1+($B$9*D18)/$B$3</f>
        <v>5.460023355850304</v>
      </c>
      <c r="F18" s="3">
        <f>$B$8/E18</f>
        <v>0.946392075247991</v>
      </c>
      <c r="H18" s="14">
        <f>$B$11/F18</f>
        <v>475.4900339609065</v>
      </c>
    </row>
    <row r="20" ht="12.75">
      <c r="A20" s="4" t="s">
        <v>21</v>
      </c>
    </row>
    <row r="21" spans="1:4" ht="12.75">
      <c r="A21" s="2" t="s">
        <v>22</v>
      </c>
      <c r="B21">
        <v>0</v>
      </c>
      <c r="C21" t="s">
        <v>102</v>
      </c>
      <c r="D21" t="s">
        <v>101</v>
      </c>
    </row>
    <row r="22" spans="1:3" ht="12.75">
      <c r="A22" t="s">
        <v>23</v>
      </c>
      <c r="B22">
        <v>300</v>
      </c>
      <c r="C22" t="s">
        <v>20</v>
      </c>
    </row>
    <row r="23" spans="1:3" ht="12.75">
      <c r="A23" t="s">
        <v>24</v>
      </c>
      <c r="B23">
        <v>10</v>
      </c>
      <c r="C23" t="s">
        <v>20</v>
      </c>
    </row>
    <row r="24" spans="1:3" ht="15.75">
      <c r="A24" s="2" t="s">
        <v>107</v>
      </c>
      <c r="B24">
        <f>0.1*B11</f>
        <v>45</v>
      </c>
      <c r="C24" t="s">
        <v>20</v>
      </c>
    </row>
    <row r="25" spans="1:3" ht="15.75">
      <c r="A25" s="2" t="s">
        <v>108</v>
      </c>
      <c r="B25">
        <f>0.33*B24</f>
        <v>14.850000000000001</v>
      </c>
      <c r="C25" t="s">
        <v>20</v>
      </c>
    </row>
    <row r="26" spans="1:3" ht="15.75">
      <c r="A26" s="2" t="s">
        <v>109</v>
      </c>
      <c r="B26">
        <f>0.05*B24</f>
        <v>2.25</v>
      </c>
      <c r="C26" t="s">
        <v>20</v>
      </c>
    </row>
    <row r="28" spans="1:7" ht="14.25">
      <c r="A28" s="4" t="s">
        <v>9</v>
      </c>
      <c r="B28" s="4" t="s">
        <v>25</v>
      </c>
      <c r="C28" s="4" t="s">
        <v>103</v>
      </c>
      <c r="D28" s="4" t="s">
        <v>26</v>
      </c>
      <c r="E28" s="4" t="s">
        <v>104</v>
      </c>
      <c r="F28" s="4" t="s">
        <v>27</v>
      </c>
      <c r="G28" s="4" t="s">
        <v>28</v>
      </c>
    </row>
    <row r="29" spans="1:7" ht="12.75">
      <c r="A29" t="s">
        <v>10</v>
      </c>
      <c r="B29">
        <v>5</v>
      </c>
      <c r="C29" s="8">
        <f>EXP($B$11/(2*$B$24)*(1-SQRT(1+(4*$B$21*$B$24*$E15)/$B$8)))*ERF($B$22/(4*SQRT($B$25*$B$11)))*ERF($B$23/(2*SQRT($B$26*$B$11)))</f>
        <v>0.1416615574373379</v>
      </c>
      <c r="D29" s="8">
        <f>1/C29</f>
        <v>7.059078116110198</v>
      </c>
      <c r="E29" s="8">
        <f>D29*B29</f>
        <v>35.29539058055099</v>
      </c>
      <c r="F29">
        <v>15000</v>
      </c>
      <c r="G29" t="s">
        <v>29</v>
      </c>
    </row>
    <row r="30" spans="1:7" ht="12.75">
      <c r="A30" t="s">
        <v>11</v>
      </c>
      <c r="B30">
        <v>780</v>
      </c>
      <c r="C30" s="8">
        <f>EXP($B$11/(2*$B$24)*(1-SQRT(1+(4*$B$21*$B$24*$E16)/$B$8)))*ERF($B$22/(4*SQRT($B$25*$B$11)))*ERF($B$23/(2*SQRT($B$26*$B$11)))</f>
        <v>0.1416615574373379</v>
      </c>
      <c r="D30" s="8">
        <f>1/C30</f>
        <v>7.059078116110198</v>
      </c>
      <c r="E30" s="8">
        <f>D30*B30</f>
        <v>5506.080930565955</v>
      </c>
      <c r="F30">
        <v>27930</v>
      </c>
      <c r="G30" t="s">
        <v>29</v>
      </c>
    </row>
    <row r="31" spans="1:7" ht="12.75">
      <c r="A31" t="s">
        <v>12</v>
      </c>
      <c r="B31">
        <v>1600</v>
      </c>
      <c r="C31" s="8">
        <f>EXP($B$11/(2*$B$24)*(1-SQRT(1+(4*$B$21*$B$24*$E17)/$B$8)))*ERF($B$22/(4*SQRT($B$25*$B$11)))*ERF($B$23/(2*SQRT($B$26*$B$11)))</f>
        <v>0.1416615574373379</v>
      </c>
      <c r="D31" s="8">
        <f>1/C31</f>
        <v>7.059078116110198</v>
      </c>
      <c r="E31" s="8">
        <f>D31*B31</f>
        <v>11294.524985776317</v>
      </c>
      <c r="F31">
        <v>16500</v>
      </c>
      <c r="G31" t="s">
        <v>29</v>
      </c>
    </row>
    <row r="32" spans="1:7" ht="12.75">
      <c r="A32" t="s">
        <v>13</v>
      </c>
      <c r="B32">
        <v>5</v>
      </c>
      <c r="C32" s="8">
        <f>EXP($B$11/(2*$B$24)*(1-SQRT(1+(4*$B$21*$B$24*$E18)/$B$8)))*ERF($B$22/(4*SQRT($B$25*$B$11)))*ERF($B$23/(2*SQRT($B$26*$B$11)))</f>
        <v>0.1416615574373379</v>
      </c>
      <c r="D32" s="8">
        <f>1/C32</f>
        <v>7.059078116110198</v>
      </c>
      <c r="E32" s="8">
        <f>D32*B32</f>
        <v>35.29539058055099</v>
      </c>
      <c r="F32">
        <v>28100</v>
      </c>
      <c r="G32" t="s">
        <v>29</v>
      </c>
    </row>
    <row r="35" ht="12.75">
      <c r="A35" s="4" t="s">
        <v>99</v>
      </c>
    </row>
    <row r="36" ht="12.75">
      <c r="A36" t="s">
        <v>151</v>
      </c>
    </row>
    <row r="37" ht="12.75">
      <c r="A37" t="s">
        <v>100</v>
      </c>
    </row>
    <row r="38" ht="12.75">
      <c r="A38" t="s">
        <v>105</v>
      </c>
    </row>
    <row r="39" ht="12.75">
      <c r="A39" t="s">
        <v>110</v>
      </c>
    </row>
  </sheetData>
  <printOptions/>
  <pageMargins left="0.75" right="0.75" top="1" bottom="1" header="0.5" footer="0.5"/>
  <pageSetup fitToHeight="1" fitToWidth="1" horizontalDpi="300" verticalDpi="300" orientation="landscape" scale="92" r:id="rId1"/>
  <headerFooter alignWithMargins="0">
    <oddHeader>&amp;LCE 397&amp;CHomework # 5&amp;RL. Hay Wilson
&amp;D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48">
      <selection activeCell="F9" sqref="F9"/>
    </sheetView>
  </sheetViews>
  <sheetFormatPr defaultColWidth="9.140625" defaultRowHeight="12.75"/>
  <cols>
    <col min="1" max="1" width="11.00390625" style="0" bestFit="1" customWidth="1"/>
    <col min="2" max="2" width="12.421875" style="0" bestFit="1" customWidth="1"/>
    <col min="3" max="3" width="13.57421875" style="0" bestFit="1" customWidth="1"/>
    <col min="4" max="4" width="13.00390625" style="0" bestFit="1" customWidth="1"/>
    <col min="5" max="5" width="12.57421875" style="0" bestFit="1" customWidth="1"/>
    <col min="6" max="6" width="12.140625" style="0" bestFit="1" customWidth="1"/>
    <col min="7" max="7" width="17.57421875" style="0" bestFit="1" customWidth="1"/>
    <col min="8" max="8" width="12.57421875" style="0" bestFit="1" customWidth="1"/>
    <col min="9" max="9" width="14.140625" style="0" bestFit="1" customWidth="1"/>
    <col min="10" max="10" width="16.8515625" style="0" bestFit="1" customWidth="1"/>
    <col min="11" max="11" width="16.7109375" style="0" customWidth="1"/>
    <col min="12" max="12" width="9.57421875" style="0" bestFit="1" customWidth="1"/>
    <col min="14" max="14" width="19.28125" style="0" bestFit="1" customWidth="1"/>
    <col min="15" max="15" width="20.7109375" style="0" bestFit="1" customWidth="1"/>
  </cols>
  <sheetData>
    <row r="1" ht="14.25">
      <c r="A1" s="4" t="s">
        <v>128</v>
      </c>
    </row>
    <row r="5" spans="1:6" ht="12.75">
      <c r="A5" s="4" t="s">
        <v>7</v>
      </c>
      <c r="F5" s="4" t="s">
        <v>37</v>
      </c>
    </row>
    <row r="6" spans="1:7" ht="14.25">
      <c r="A6" s="7" t="s">
        <v>9</v>
      </c>
      <c r="B6" s="7" t="s">
        <v>30</v>
      </c>
      <c r="C6" s="7" t="s">
        <v>32</v>
      </c>
      <c r="D6" s="7" t="s">
        <v>34</v>
      </c>
      <c r="E6" s="7" t="s">
        <v>112</v>
      </c>
      <c r="F6" s="7" t="s">
        <v>38</v>
      </c>
      <c r="G6" s="7" t="s">
        <v>117</v>
      </c>
    </row>
    <row r="7" spans="1:6" ht="12.75">
      <c r="A7" s="4"/>
      <c r="B7" s="5" t="s">
        <v>31</v>
      </c>
      <c r="C7" t="s">
        <v>33</v>
      </c>
      <c r="D7" t="s">
        <v>35</v>
      </c>
      <c r="E7" t="s">
        <v>36</v>
      </c>
      <c r="F7" t="s">
        <v>36</v>
      </c>
    </row>
    <row r="8" spans="1:7" ht="12.75">
      <c r="A8" t="s">
        <v>10</v>
      </c>
      <c r="B8">
        <v>850</v>
      </c>
      <c r="C8" s="1">
        <v>0.00547</v>
      </c>
      <c r="D8" s="8">
        <f>C8/(0.000082*298)</f>
        <v>0.22385005729251925</v>
      </c>
      <c r="E8" s="8">
        <f>D8*B8*1000</f>
        <v>190272.54869864136</v>
      </c>
      <c r="F8" s="1">
        <v>0.32</v>
      </c>
      <c r="G8" t="s">
        <v>29</v>
      </c>
    </row>
    <row r="9" spans="1:7" ht="12.75">
      <c r="A9" t="s">
        <v>12</v>
      </c>
      <c r="B9">
        <v>300</v>
      </c>
      <c r="C9" s="1">
        <v>0.000482</v>
      </c>
      <c r="D9" s="8">
        <f>C9/(0.000082*298)</f>
        <v>0.0197249959076772</v>
      </c>
      <c r="E9" s="8">
        <f>D9*B9*1000</f>
        <v>5917.49877230316</v>
      </c>
      <c r="F9">
        <v>290</v>
      </c>
      <c r="G9" t="s">
        <v>29</v>
      </c>
    </row>
    <row r="11" spans="1:3" ht="12.75">
      <c r="A11" t="s">
        <v>39</v>
      </c>
      <c r="B11">
        <v>244</v>
      </c>
      <c r="C11" t="s">
        <v>44</v>
      </c>
    </row>
    <row r="12" spans="1:3" ht="12.75">
      <c r="A12" t="s">
        <v>40</v>
      </c>
      <c r="B12">
        <v>0.00014</v>
      </c>
      <c r="C12" t="s">
        <v>129</v>
      </c>
    </row>
    <row r="13" spans="1:3" ht="12.75">
      <c r="A13" t="s">
        <v>41</v>
      </c>
      <c r="B13">
        <v>200</v>
      </c>
      <c r="C13" t="s">
        <v>44</v>
      </c>
    </row>
    <row r="14" spans="1:3" ht="12.75">
      <c r="A14" t="s">
        <v>42</v>
      </c>
      <c r="B14">
        <v>15</v>
      </c>
      <c r="C14" t="s">
        <v>44</v>
      </c>
    </row>
    <row r="15" spans="1:2" ht="12.75">
      <c r="A15" s="2" t="s">
        <v>43</v>
      </c>
      <c r="B15">
        <v>0.01</v>
      </c>
    </row>
    <row r="16" spans="1:3" ht="12.75">
      <c r="A16" t="s">
        <v>45</v>
      </c>
      <c r="B16">
        <v>5</v>
      </c>
      <c r="C16" t="s">
        <v>44</v>
      </c>
    </row>
    <row r="17" spans="1:3" ht="12.75">
      <c r="A17" t="s">
        <v>46</v>
      </c>
      <c r="B17">
        <f>B11-B16</f>
        <v>239</v>
      </c>
      <c r="C17" t="s">
        <v>44</v>
      </c>
    </row>
    <row r="18" spans="1:2" ht="15.75">
      <c r="A18" s="2" t="s">
        <v>47</v>
      </c>
      <c r="B18">
        <v>0.48</v>
      </c>
    </row>
    <row r="19" spans="1:2" ht="15.75">
      <c r="A19" s="2" t="s">
        <v>48</v>
      </c>
      <c r="B19">
        <v>0.25</v>
      </c>
    </row>
    <row r="20" spans="1:2" ht="15.75">
      <c r="A20" s="2" t="s">
        <v>49</v>
      </c>
      <c r="B20">
        <f>B18-B19</f>
        <v>0.22999999999999998</v>
      </c>
    </row>
    <row r="21" spans="1:2" ht="15.75">
      <c r="A21" s="2" t="s">
        <v>50</v>
      </c>
      <c r="B21">
        <v>0.044</v>
      </c>
    </row>
    <row r="22" spans="1:2" ht="15.75">
      <c r="A22" s="2" t="s">
        <v>51</v>
      </c>
      <c r="B22">
        <f>B18-B21</f>
        <v>0.436</v>
      </c>
    </row>
    <row r="23" spans="1:2" ht="15.75">
      <c r="A23" s="2" t="s">
        <v>52</v>
      </c>
      <c r="B23">
        <v>0.25</v>
      </c>
    </row>
    <row r="24" spans="1:2" ht="15.75">
      <c r="A24" s="2" t="s">
        <v>53</v>
      </c>
      <c r="B24">
        <f>B18-B23</f>
        <v>0.22999999999999998</v>
      </c>
    </row>
    <row r="25" ht="12.75">
      <c r="A25" s="2"/>
    </row>
    <row r="26" spans="1:15" ht="15">
      <c r="A26" s="7" t="s">
        <v>9</v>
      </c>
      <c r="B26" s="7" t="s">
        <v>54</v>
      </c>
      <c r="C26" s="7" t="s">
        <v>55</v>
      </c>
      <c r="D26" s="7" t="s">
        <v>120</v>
      </c>
      <c r="E26" s="7" t="s">
        <v>121</v>
      </c>
      <c r="F26" s="7" t="s">
        <v>122</v>
      </c>
      <c r="G26" s="7" t="s">
        <v>123</v>
      </c>
      <c r="H26" s="7" t="s">
        <v>124</v>
      </c>
      <c r="I26" s="7" t="s">
        <v>125</v>
      </c>
      <c r="J26" s="7" t="s">
        <v>126</v>
      </c>
      <c r="K26" s="7" t="s">
        <v>126</v>
      </c>
      <c r="L26" s="7" t="s">
        <v>56</v>
      </c>
      <c r="M26" s="7" t="s">
        <v>127</v>
      </c>
      <c r="N26" s="10" t="s">
        <v>150</v>
      </c>
      <c r="O26" s="7" t="s">
        <v>57</v>
      </c>
    </row>
    <row r="27" spans="1:14" ht="12.75">
      <c r="A27" s="2"/>
      <c r="B27" s="6" t="s">
        <v>58</v>
      </c>
      <c r="C27" s="6" t="s">
        <v>58</v>
      </c>
      <c r="D27" s="6" t="s">
        <v>58</v>
      </c>
      <c r="E27" s="6" t="s">
        <v>58</v>
      </c>
      <c r="F27" s="6" t="s">
        <v>58</v>
      </c>
      <c r="G27" s="6" t="s">
        <v>58</v>
      </c>
      <c r="J27" s="9" t="s">
        <v>114</v>
      </c>
      <c r="K27" s="9" t="s">
        <v>119</v>
      </c>
      <c r="M27" t="s">
        <v>59</v>
      </c>
      <c r="N27" t="s">
        <v>59</v>
      </c>
    </row>
    <row r="28" spans="1:15" ht="12.75">
      <c r="A28" t="s">
        <v>10</v>
      </c>
      <c r="B28" s="1">
        <v>0.087</v>
      </c>
      <c r="C28" s="1">
        <v>1.1E-05</v>
      </c>
      <c r="D28" s="11">
        <f>B28*($B$19^3.33)/($B$19+$B$20)^2+(C28/$D8)*($B$20^3.33)/($B$19+$B$20)^2</f>
        <v>0.0037356208973838667</v>
      </c>
      <c r="E28" s="1">
        <f>B28*($B$21^3.33/$B$18^2)+(C28/$D8)*($B$22^3.33/$B$18^2)</f>
        <v>2.4915864816295502E-05</v>
      </c>
      <c r="F28" s="11">
        <f>B28*($B$23^3.33/$B$18^2)+(C28/$D8)*($B$24^3.33/$B$18^2)</f>
        <v>0.0037356208973838663</v>
      </c>
      <c r="G28" s="11">
        <f>($B$16+$B$17)*($B$16/E28+$B$17/F28)^-1</f>
        <v>0.0009219584497642871</v>
      </c>
      <c r="H28" s="1">
        <f>G28/$B$11</f>
        <v>3.7785182367388817E-06</v>
      </c>
      <c r="I28" s="11">
        <f>D28/$B$14</f>
        <v>0.00024904139315892445</v>
      </c>
      <c r="J28" s="11">
        <f>$D8*(H28/($B$12*$B$13))/(1+(H28/($B$12*$B$13))+(H28/(I28*$B$15)))*1000</f>
        <v>0.011999838082009346</v>
      </c>
      <c r="K28" s="11">
        <f>J28*1000/1000</f>
        <v>0.011999838082009346</v>
      </c>
      <c r="L28" s="11">
        <f>1/K28</f>
        <v>83.33445777899632</v>
      </c>
      <c r="M28" s="1">
        <f>$F8*L28</f>
        <v>26.667026489278825</v>
      </c>
      <c r="N28">
        <v>850</v>
      </c>
      <c r="O28" t="s">
        <v>29</v>
      </c>
    </row>
    <row r="29" spans="1:15" ht="12.75">
      <c r="A29" t="s">
        <v>12</v>
      </c>
      <c r="B29" s="1">
        <v>0.059</v>
      </c>
      <c r="C29" s="1">
        <v>7.5E-06</v>
      </c>
      <c r="D29" s="11">
        <f>B29*($B$19^3.33)/($B$19+$B$20)^2+(C29/$D9)*($B$20^3.33)/($B$19+$B$20)^2</f>
        <v>0.002544631340019837</v>
      </c>
      <c r="E29" s="1">
        <f>B29*($B$21^3.33/$B$18^2)+(C29/$D9)*($B$22^3.33/$B$18^2)</f>
        <v>0.00011178600408908706</v>
      </c>
      <c r="F29" s="11">
        <f>B29*($B$23^3.33/$B$18^2)+(C29/$D9)*($B$24^3.33/$B$18^2)</f>
        <v>0.002544631340019837</v>
      </c>
      <c r="G29" s="11">
        <f>($B$16+$B$17)*($B$16/E29+$B$17/F29)^-1</f>
        <v>0.0017598072205610572</v>
      </c>
      <c r="H29" s="1">
        <f>G29/$B$11</f>
        <v>7.212324674430562E-06</v>
      </c>
      <c r="I29" s="11">
        <f>D29/$B$14</f>
        <v>0.0001696420893346558</v>
      </c>
      <c r="J29" s="11">
        <f>$D9*(H29/($B$12*$B$13))/(1+(H29/($B$12*$B$13))+(H29/(I29*$B$15)))*1000</f>
        <v>0.0009674530874269633</v>
      </c>
      <c r="K29" s="11">
        <f>J29*1000/1000</f>
        <v>0.0009674530874269633</v>
      </c>
      <c r="L29" s="11">
        <f>1/K29</f>
        <v>1033.6418509548596</v>
      </c>
      <c r="M29" s="1">
        <f>$F9*L29</f>
        <v>299756.1367769093</v>
      </c>
      <c r="N29">
        <v>300</v>
      </c>
      <c r="O29" t="s">
        <v>60</v>
      </c>
    </row>
    <row r="34" ht="12.75">
      <c r="A34" s="4" t="s">
        <v>99</v>
      </c>
    </row>
    <row r="35" ht="12.75">
      <c r="A35" t="s">
        <v>113</v>
      </c>
    </row>
    <row r="36" ht="12.75">
      <c r="A36" t="s">
        <v>115</v>
      </c>
    </row>
    <row r="37" ht="12.75">
      <c r="A37" t="s">
        <v>116</v>
      </c>
    </row>
    <row r="38" ht="12.75">
      <c r="A38" t="s">
        <v>110</v>
      </c>
    </row>
    <row r="39" ht="12.75">
      <c r="A39" t="s">
        <v>118</v>
      </c>
    </row>
  </sheetData>
  <printOptions/>
  <pageMargins left="0.75" right="0.75" top="1" bottom="1" header="0.5" footer="0.5"/>
  <pageSetup fitToHeight="1" fitToWidth="1" horizontalDpi="300" verticalDpi="300" orientation="landscape" scale="58" r:id="rId1"/>
  <headerFooter alignWithMargins="0">
    <oddHeader>&amp;LCE 397&amp;CHomework # 5&amp;RL. Hay Wilson
&amp;D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4">
      <selection activeCell="A27" sqref="A27"/>
    </sheetView>
  </sheetViews>
  <sheetFormatPr defaultColWidth="9.140625" defaultRowHeight="12.75"/>
  <cols>
    <col min="1" max="1" width="45.7109375" style="0" customWidth="1"/>
    <col min="2" max="2" width="12.421875" style="0" bestFit="1" customWidth="1"/>
    <col min="3" max="3" width="10.8515625" style="0" bestFit="1" customWidth="1"/>
    <col min="4" max="7" width="15.7109375" style="0" customWidth="1"/>
  </cols>
  <sheetData>
    <row r="1" ht="12.75">
      <c r="A1" t="s">
        <v>61</v>
      </c>
    </row>
    <row r="3" spans="1:5" ht="14.25">
      <c r="A3" s="4" t="s">
        <v>131</v>
      </c>
      <c r="E3" s="4" t="s">
        <v>132</v>
      </c>
    </row>
    <row r="4" spans="1:5" ht="12.75">
      <c r="A4" t="s">
        <v>160</v>
      </c>
      <c r="B4" s="1">
        <v>1E-05</v>
      </c>
      <c r="E4" s="1">
        <v>1E-05</v>
      </c>
    </row>
    <row r="5" spans="1:6" ht="12.75">
      <c r="A5" t="s">
        <v>161</v>
      </c>
      <c r="B5">
        <v>350</v>
      </c>
      <c r="C5" t="s">
        <v>75</v>
      </c>
      <c r="E5">
        <v>250</v>
      </c>
      <c r="F5" t="s">
        <v>75</v>
      </c>
    </row>
    <row r="6" spans="1:6" ht="12.75">
      <c r="A6" t="s">
        <v>162</v>
      </c>
      <c r="B6">
        <v>6</v>
      </c>
      <c r="C6" t="s">
        <v>72</v>
      </c>
      <c r="E6">
        <v>25</v>
      </c>
      <c r="F6" t="s">
        <v>72</v>
      </c>
    </row>
    <row r="7" spans="1:6" ht="12.75">
      <c r="A7" t="s">
        <v>163</v>
      </c>
      <c r="B7">
        <v>191</v>
      </c>
      <c r="C7" t="s">
        <v>71</v>
      </c>
      <c r="E7">
        <v>50</v>
      </c>
      <c r="F7" t="s">
        <v>71</v>
      </c>
    </row>
    <row r="8" spans="1:5" ht="12.75">
      <c r="A8" t="s">
        <v>164</v>
      </c>
      <c r="B8">
        <v>1</v>
      </c>
      <c r="E8">
        <v>1</v>
      </c>
    </row>
    <row r="9" spans="1:6" ht="15.75">
      <c r="A9" t="s">
        <v>166</v>
      </c>
      <c r="B9">
        <v>70</v>
      </c>
      <c r="C9" t="s">
        <v>72</v>
      </c>
      <c r="E9">
        <v>70</v>
      </c>
      <c r="F9" t="s">
        <v>72</v>
      </c>
    </row>
    <row r="10" spans="1:6" ht="15.75">
      <c r="A10" t="s">
        <v>167</v>
      </c>
      <c r="B10">
        <v>6</v>
      </c>
      <c r="C10" t="s">
        <v>72</v>
      </c>
      <c r="E10">
        <v>25</v>
      </c>
      <c r="F10" t="s">
        <v>72</v>
      </c>
    </row>
    <row r="11" spans="1:6" ht="12.75">
      <c r="A11" t="s">
        <v>165</v>
      </c>
      <c r="B11">
        <v>15</v>
      </c>
      <c r="C11" t="s">
        <v>80</v>
      </c>
      <c r="E11">
        <v>70</v>
      </c>
      <c r="F11" t="s">
        <v>80</v>
      </c>
    </row>
    <row r="14" spans="4:7" ht="12.75">
      <c r="D14" s="12" t="s">
        <v>62</v>
      </c>
      <c r="E14" s="12"/>
      <c r="F14" s="13" t="s">
        <v>76</v>
      </c>
      <c r="G14" s="13"/>
    </row>
    <row r="15" spans="1:7" ht="14.25">
      <c r="A15" s="4" t="s">
        <v>9</v>
      </c>
      <c r="B15" s="16" t="s">
        <v>170</v>
      </c>
      <c r="C15" s="16" t="s">
        <v>171</v>
      </c>
      <c r="D15" s="4" t="s">
        <v>130</v>
      </c>
      <c r="E15" s="16" t="s">
        <v>77</v>
      </c>
      <c r="F15" s="16" t="s">
        <v>130</v>
      </c>
      <c r="G15" s="16" t="s">
        <v>77</v>
      </c>
    </row>
    <row r="16" spans="2:7" ht="12.75">
      <c r="B16" t="s">
        <v>73</v>
      </c>
      <c r="C16" t="s">
        <v>74</v>
      </c>
      <c r="D16" s="17" t="s">
        <v>78</v>
      </c>
      <c r="E16" s="17" t="s">
        <v>78</v>
      </c>
      <c r="F16" s="17" t="s">
        <v>78</v>
      </c>
      <c r="G16" s="17" t="s">
        <v>78</v>
      </c>
    </row>
    <row r="17" spans="1:7" ht="12.75">
      <c r="A17" t="s">
        <v>12</v>
      </c>
      <c r="B17" s="6" t="s">
        <v>64</v>
      </c>
      <c r="C17" s="1">
        <v>0.04</v>
      </c>
      <c r="D17" s="17" t="s">
        <v>64</v>
      </c>
      <c r="E17" s="3">
        <f>$B$8*C17*$B$11*$B$10*365/(0.000001*$B$5*$B$6*$B$7)</f>
        <v>3275.991024682124</v>
      </c>
      <c r="F17" s="17" t="s">
        <v>64</v>
      </c>
      <c r="G17" s="3">
        <f>$E$8*C17*$E$11*$E$10*365/(0.000001*$E$5*$E$6*$E$7)</f>
        <v>81760</v>
      </c>
    </row>
    <row r="18" spans="1:7" ht="12.75">
      <c r="A18" t="s">
        <v>13</v>
      </c>
      <c r="B18" s="1">
        <v>0.011</v>
      </c>
      <c r="C18" s="1">
        <v>0.006</v>
      </c>
      <c r="D18" s="3">
        <f>$B$4*$B$11*$B$9*365/(B18*0.000001*$B$5*$B$6*$B$7)</f>
        <v>868.6339838172299</v>
      </c>
      <c r="E18" s="3">
        <f>$B$8*C18*$B$11*$B$10*365/(0.000001*$B$5*$B$6*$B$7)</f>
        <v>491.3986537023187</v>
      </c>
      <c r="F18" s="3">
        <f>$E$4*$E$11*$E$9*365/(B18*0.000001*$E$5*$E$6*$E$7)</f>
        <v>5202.909090909091</v>
      </c>
      <c r="G18" s="3">
        <f>$E$8*C18*$E$11*$E$10*365/(0.000001*$E$5*$E$6*$E$7)</f>
        <v>12264</v>
      </c>
    </row>
    <row r="19" spans="4:6" ht="12.75">
      <c r="D19" s="3"/>
      <c r="F19" s="3"/>
    </row>
    <row r="22" ht="12.75">
      <c r="A22" t="s">
        <v>99</v>
      </c>
    </row>
    <row r="23" ht="12.75">
      <c r="A23" t="s">
        <v>168</v>
      </c>
    </row>
    <row r="24" ht="12.75">
      <c r="A24" t="s">
        <v>169</v>
      </c>
    </row>
    <row r="25" ht="12.75">
      <c r="A25" t="s">
        <v>172</v>
      </c>
    </row>
    <row r="27" ht="15.75">
      <c r="A27" t="s">
        <v>173</v>
      </c>
    </row>
    <row r="29" ht="15.75">
      <c r="A29" t="s">
        <v>174</v>
      </c>
    </row>
  </sheetData>
  <mergeCells count="2">
    <mergeCell ref="D14:E14"/>
    <mergeCell ref="F14:G14"/>
  </mergeCells>
  <printOptions/>
  <pageMargins left="0.75" right="0.75" top="1" bottom="1" header="0.5" footer="0.5"/>
  <pageSetup fitToHeight="1" fitToWidth="1" horizontalDpi="300" verticalDpi="300" orientation="landscape" scale="93" r:id="rId1"/>
  <headerFooter alignWithMargins="0">
    <oddHeader>&amp;LCE 397&amp;CHomework # 5&amp;RL. Hay Wilson
&amp;D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B8">
      <selection activeCell="J15" sqref="J15"/>
    </sheetView>
  </sheetViews>
  <sheetFormatPr defaultColWidth="9.140625" defaultRowHeight="12.75"/>
  <cols>
    <col min="1" max="1" width="24.7109375" style="0" customWidth="1"/>
    <col min="2" max="2" width="9.28125" style="0" bestFit="1" customWidth="1"/>
    <col min="3" max="3" width="12.140625" style="0" bestFit="1" customWidth="1"/>
    <col min="4" max="4" width="12.00390625" style="0" customWidth="1"/>
    <col min="5" max="5" width="9.28125" style="0" bestFit="1" customWidth="1"/>
    <col min="6" max="6" width="11.7109375" style="0" bestFit="1" customWidth="1"/>
    <col min="7" max="7" width="9.57421875" style="0" bestFit="1" customWidth="1"/>
    <col min="8" max="8" width="11.7109375" style="0" bestFit="1" customWidth="1"/>
    <col min="9" max="9" width="9.28125" style="0" bestFit="1" customWidth="1"/>
    <col min="10" max="10" width="10.8515625" style="0" bestFit="1" customWidth="1"/>
  </cols>
  <sheetData>
    <row r="1" ht="12.75">
      <c r="A1" s="4" t="s">
        <v>81</v>
      </c>
    </row>
    <row r="2" ht="12.75">
      <c r="A2" t="s">
        <v>138</v>
      </c>
    </row>
    <row r="4" spans="1:2" ht="12.75">
      <c r="A4" t="s">
        <v>65</v>
      </c>
      <c r="B4" s="1">
        <v>1E-05</v>
      </c>
    </row>
    <row r="5" spans="1:3" ht="12.75">
      <c r="A5" t="s">
        <v>66</v>
      </c>
      <c r="B5">
        <v>350</v>
      </c>
      <c r="C5" t="s">
        <v>75</v>
      </c>
    </row>
    <row r="6" spans="1:3" ht="12.75">
      <c r="A6" t="s">
        <v>70</v>
      </c>
      <c r="B6">
        <v>6</v>
      </c>
      <c r="C6" t="s">
        <v>72</v>
      </c>
    </row>
    <row r="7" spans="1:3" ht="12.75">
      <c r="A7" t="s">
        <v>91</v>
      </c>
      <c r="B7">
        <v>0.64</v>
      </c>
      <c r="C7" t="s">
        <v>92</v>
      </c>
    </row>
    <row r="8" spans="1:2" ht="12.75">
      <c r="A8" t="s">
        <v>67</v>
      </c>
      <c r="B8">
        <v>1</v>
      </c>
    </row>
    <row r="9" spans="1:3" ht="15.75">
      <c r="A9" t="s">
        <v>68</v>
      </c>
      <c r="B9">
        <v>70</v>
      </c>
      <c r="C9" t="s">
        <v>72</v>
      </c>
    </row>
    <row r="10" spans="1:3" ht="15.75">
      <c r="A10" t="s">
        <v>69</v>
      </c>
      <c r="B10">
        <v>6</v>
      </c>
      <c r="C10" t="s">
        <v>72</v>
      </c>
    </row>
    <row r="11" spans="1:3" ht="12.75">
      <c r="A11" t="s">
        <v>79</v>
      </c>
      <c r="B11">
        <v>15</v>
      </c>
      <c r="C11" t="s">
        <v>80</v>
      </c>
    </row>
    <row r="12" spans="6:10" ht="14.25">
      <c r="F12" t="s">
        <v>147</v>
      </c>
      <c r="J12" t="s">
        <v>148</v>
      </c>
    </row>
    <row r="13" spans="3:8" ht="14.25">
      <c r="C13" s="4" t="s">
        <v>131</v>
      </c>
      <c r="G13" s="4" t="s">
        <v>139</v>
      </c>
      <c r="H13" s="4" t="s">
        <v>141</v>
      </c>
    </row>
    <row r="14" spans="1:10" ht="14.25">
      <c r="A14" s="4" t="s">
        <v>9</v>
      </c>
      <c r="B14" s="4" t="s">
        <v>63</v>
      </c>
      <c r="C14" s="4" t="s">
        <v>93</v>
      </c>
      <c r="D14" s="4" t="s">
        <v>96</v>
      </c>
      <c r="E14" s="4" t="s">
        <v>149</v>
      </c>
      <c r="F14" s="4" t="s">
        <v>94</v>
      </c>
      <c r="G14" s="4" t="s">
        <v>140</v>
      </c>
      <c r="H14" s="4" t="s">
        <v>142</v>
      </c>
      <c r="I14" s="4" t="s">
        <v>149</v>
      </c>
      <c r="J14" s="4" t="s">
        <v>94</v>
      </c>
    </row>
    <row r="15" spans="1:10" ht="12.75">
      <c r="A15" t="s">
        <v>82</v>
      </c>
      <c r="B15" s="8">
        <v>0.2</v>
      </c>
      <c r="C15" s="8">
        <f>$B$8*B15*$B$11*$B$10*365/($B$5*$B$6*$B$7)</f>
        <v>4.888392857142857</v>
      </c>
      <c r="D15" s="8">
        <v>0.006</v>
      </c>
      <c r="E15" s="8">
        <f>C15*D15</f>
        <v>0.02933035714285714</v>
      </c>
      <c r="F15" s="8">
        <f>E15/C15</f>
        <v>0.006</v>
      </c>
      <c r="G15" s="8">
        <v>10700</v>
      </c>
      <c r="H15" s="8">
        <f>G15/$G$24</f>
        <v>0.057709940132678925</v>
      </c>
      <c r="I15" s="8">
        <f>C15*H15</f>
        <v>0.28210885913072953</v>
      </c>
      <c r="J15" s="8">
        <f>I15/C15</f>
        <v>0.057709940132678925</v>
      </c>
    </row>
    <row r="16" spans="1:10" ht="12.75">
      <c r="A16" t="s">
        <v>83</v>
      </c>
      <c r="B16" s="8">
        <v>0.1</v>
      </c>
      <c r="C16" s="8">
        <f aca="true" t="shared" si="0" ref="C16:C23">$B$8*B16*$B$11*$B$10*365/($B$5*$B$6*$B$7)</f>
        <v>2.4441964285714284</v>
      </c>
      <c r="D16" s="8">
        <v>0.006</v>
      </c>
      <c r="E16" s="8">
        <f aca="true" t="shared" si="1" ref="E16:E23">C16*D16</f>
        <v>0.01466517857142857</v>
      </c>
      <c r="F16" s="8">
        <f aca="true" t="shared" si="2" ref="F16:F23">E16/C16</f>
        <v>0.006</v>
      </c>
      <c r="G16" s="8">
        <v>12000</v>
      </c>
      <c r="H16" s="8">
        <f aca="true" t="shared" si="3" ref="H16:H23">G16/$G$24</f>
        <v>0.06472142818618197</v>
      </c>
      <c r="I16" s="8">
        <f aca="true" t="shared" si="4" ref="I16:I23">C16*H16</f>
        <v>0.15819188362470815</v>
      </c>
      <c r="J16" s="8">
        <f aca="true" t="shared" si="5" ref="J16:J23">I16/C16</f>
        <v>0.06472142818618197</v>
      </c>
    </row>
    <row r="17" spans="1:10" ht="12.75">
      <c r="A17" t="s">
        <v>84</v>
      </c>
      <c r="B17" s="8">
        <v>2</v>
      </c>
      <c r="C17" s="8">
        <f t="shared" si="0"/>
        <v>48.88392857142857</v>
      </c>
      <c r="D17" s="8">
        <v>0.002</v>
      </c>
      <c r="E17" s="8">
        <f t="shared" si="1"/>
        <v>0.09776785714285714</v>
      </c>
      <c r="F17" s="8">
        <f t="shared" si="2"/>
        <v>0.002</v>
      </c>
      <c r="G17" s="8">
        <v>21200</v>
      </c>
      <c r="H17" s="8">
        <f t="shared" si="3"/>
        <v>0.11434118979558816</v>
      </c>
      <c r="I17" s="8">
        <f t="shared" si="4"/>
        <v>5.5894465547396885</v>
      </c>
      <c r="J17" s="8">
        <f t="shared" si="5"/>
        <v>0.11434118979558816</v>
      </c>
    </row>
    <row r="18" spans="1:10" ht="12.75">
      <c r="A18" t="s">
        <v>85</v>
      </c>
      <c r="B18" s="8">
        <v>0.1</v>
      </c>
      <c r="C18" s="8">
        <f t="shared" si="0"/>
        <v>2.4441964285714284</v>
      </c>
      <c r="D18" s="8">
        <v>0.05</v>
      </c>
      <c r="E18" s="8">
        <f t="shared" si="1"/>
        <v>0.12220982142857142</v>
      </c>
      <c r="F18" s="8">
        <f t="shared" si="2"/>
        <v>0.05</v>
      </c>
      <c r="G18" s="8">
        <v>25000</v>
      </c>
      <c r="H18" s="8">
        <f t="shared" si="3"/>
        <v>0.13483630872121244</v>
      </c>
      <c r="I18" s="8">
        <f t="shared" si="4"/>
        <v>0.329566424218142</v>
      </c>
      <c r="J18" s="8">
        <f t="shared" si="5"/>
        <v>0.13483630872121244</v>
      </c>
    </row>
    <row r="19" spans="1:10" ht="12.75">
      <c r="A19" t="s">
        <v>86</v>
      </c>
      <c r="B19" s="8">
        <v>0.02</v>
      </c>
      <c r="C19" s="8">
        <f t="shared" si="0"/>
        <v>0.48883928571428564</v>
      </c>
      <c r="D19" s="8">
        <v>0.195</v>
      </c>
      <c r="E19" s="8">
        <f t="shared" si="1"/>
        <v>0.0953236607142857</v>
      </c>
      <c r="F19" s="8">
        <f t="shared" si="2"/>
        <v>0.195</v>
      </c>
      <c r="G19" s="8">
        <v>27930</v>
      </c>
      <c r="H19" s="8">
        <f t="shared" si="3"/>
        <v>0.15063912410333855</v>
      </c>
      <c r="I19" s="8">
        <f t="shared" si="4"/>
        <v>0.07363832182730165</v>
      </c>
      <c r="J19" s="8">
        <f t="shared" si="5"/>
        <v>0.15063912410333855</v>
      </c>
    </row>
    <row r="20" spans="1:10" ht="12.75">
      <c r="A20" t="s">
        <v>87</v>
      </c>
      <c r="B20" s="8">
        <v>0.03</v>
      </c>
      <c r="C20" s="8">
        <f t="shared" si="0"/>
        <v>0.7332589285714285</v>
      </c>
      <c r="D20" s="8">
        <v>0.1</v>
      </c>
      <c r="E20" s="8">
        <f t="shared" si="1"/>
        <v>0.07332589285714285</v>
      </c>
      <c r="F20" s="8">
        <f t="shared" si="2"/>
        <v>0.09999999999999999</v>
      </c>
      <c r="G20" s="8">
        <v>17000</v>
      </c>
      <c r="H20" s="8">
        <f t="shared" si="3"/>
        <v>0.09168868993042446</v>
      </c>
      <c r="I20" s="8">
        <f t="shared" si="4"/>
        <v>0.06723155054050096</v>
      </c>
      <c r="J20" s="8">
        <f t="shared" si="5"/>
        <v>0.09168868993042446</v>
      </c>
    </row>
    <row r="21" spans="1:10" ht="12.75">
      <c r="A21" t="s">
        <v>88</v>
      </c>
      <c r="B21" s="8">
        <v>0.04</v>
      </c>
      <c r="C21" s="8">
        <f t="shared" si="0"/>
        <v>0.9776785714285713</v>
      </c>
      <c r="D21" s="8">
        <v>0.04</v>
      </c>
      <c r="E21" s="8">
        <f t="shared" si="1"/>
        <v>0.039107142857142854</v>
      </c>
      <c r="F21" s="8">
        <f t="shared" si="2"/>
        <v>0.04</v>
      </c>
      <c r="G21" s="8">
        <v>16500</v>
      </c>
      <c r="H21" s="8">
        <f t="shared" si="3"/>
        <v>0.08899196375600021</v>
      </c>
      <c r="I21" s="8">
        <f t="shared" si="4"/>
        <v>0.08700553599358948</v>
      </c>
      <c r="J21" s="8">
        <f t="shared" si="5"/>
        <v>0.08899196375600021</v>
      </c>
    </row>
    <row r="22" spans="1:10" ht="12.75">
      <c r="A22" t="s">
        <v>89</v>
      </c>
      <c r="B22" s="8">
        <v>0.01</v>
      </c>
      <c r="C22" s="8">
        <f t="shared" si="0"/>
        <v>0.24441964285714282</v>
      </c>
      <c r="D22" s="8">
        <v>0.3</v>
      </c>
      <c r="E22" s="8">
        <f t="shared" si="1"/>
        <v>0.07332589285714285</v>
      </c>
      <c r="F22" s="8">
        <f t="shared" si="2"/>
        <v>0.3</v>
      </c>
      <c r="G22" s="8">
        <v>26980</v>
      </c>
      <c r="H22" s="8">
        <f t="shared" si="3"/>
        <v>0.14551534437193248</v>
      </c>
      <c r="I22" s="8">
        <f t="shared" si="4"/>
        <v>0.03556680850162188</v>
      </c>
      <c r="J22" s="8">
        <f t="shared" si="5"/>
        <v>0.14551534437193248</v>
      </c>
    </row>
    <row r="23" spans="1:10" ht="12.75">
      <c r="A23" t="s">
        <v>90</v>
      </c>
      <c r="B23" s="8">
        <v>0.006</v>
      </c>
      <c r="C23" s="8">
        <f t="shared" si="0"/>
        <v>0.14665178571428572</v>
      </c>
      <c r="D23" s="8">
        <v>0.301</v>
      </c>
      <c r="E23" s="8">
        <f t="shared" si="1"/>
        <v>0.0441421875</v>
      </c>
      <c r="F23" s="8">
        <f t="shared" si="2"/>
        <v>0.301</v>
      </c>
      <c r="G23" s="8">
        <v>28100</v>
      </c>
      <c r="H23" s="8">
        <f t="shared" si="3"/>
        <v>0.1515560110026428</v>
      </c>
      <c r="I23" s="8">
        <f t="shared" si="4"/>
        <v>0.0222259596492715</v>
      </c>
      <c r="J23" s="8">
        <f t="shared" si="5"/>
        <v>0.1515560110026428</v>
      </c>
    </row>
    <row r="24" spans="5:10" ht="12.75">
      <c r="E24" t="s">
        <v>95</v>
      </c>
      <c r="F24">
        <f>SUM(F15:F23)</f>
        <v>1</v>
      </c>
      <c r="G24">
        <f>SUM(G15:G23)</f>
        <v>185410</v>
      </c>
      <c r="H24">
        <f>SUM(H15:H23)</f>
        <v>1</v>
      </c>
      <c r="I24" t="s">
        <v>143</v>
      </c>
      <c r="J24" s="8">
        <f>SUM(J15:J23)</f>
        <v>1</v>
      </c>
    </row>
    <row r="26" ht="12.75">
      <c r="A26" s="4" t="s">
        <v>99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146</v>
      </c>
    </row>
    <row r="33" ht="12.75">
      <c r="A33" t="s">
        <v>144</v>
      </c>
    </row>
    <row r="34" ht="12.75">
      <c r="A34" t="s">
        <v>145</v>
      </c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&amp;LCE 397&amp;CHomework #5&amp;RL. Hay Wilson
&amp;D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Hay Wilson</dc:creator>
  <cp:keywords/>
  <dc:description/>
  <cp:lastModifiedBy>David Maidment</cp:lastModifiedBy>
  <cp:lastPrinted>1998-04-28T08:15:52Z</cp:lastPrinted>
  <dcterms:created xsi:type="dcterms:W3CDTF">1997-04-07T03:35:39Z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